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<sst xmlns="http://schemas.openxmlformats.org/spreadsheetml/2006/main" count="97" uniqueCount="90">
  <si>
    <t>Projekt Nr:</t>
  </si>
  <si>
    <t>1. Systemwerte</t>
  </si>
  <si>
    <t xml:space="preserve"> Altgrad</t>
  </si>
  <si>
    <t>cos(delta-alpha)=</t>
  </si>
  <si>
    <t>cos(alpha+beta)=</t>
  </si>
  <si>
    <t>cos(delta+alpha)=</t>
  </si>
  <si>
    <t>cos(phi+alpha) =</t>
  </si>
  <si>
    <t>sin(phi + delta) =</t>
  </si>
  <si>
    <t>sin(phi - beta)  =</t>
  </si>
  <si>
    <t>cos(alpha)        =</t>
  </si>
  <si>
    <t>cos(phi)       =</t>
  </si>
  <si>
    <t>sin(phi+delts-alpha)=</t>
  </si>
  <si>
    <t>cos(phi+delta-alpha)=</t>
  </si>
  <si>
    <t>sin(phi)     =</t>
  </si>
  <si>
    <t>Hinweis:</t>
  </si>
  <si>
    <t>sin(phi+beta)=</t>
  </si>
  <si>
    <t>sin(beta)   =</t>
  </si>
  <si>
    <t>cos(alpha-phi)=</t>
  </si>
  <si>
    <t>sin(delta-phi)=</t>
  </si>
  <si>
    <t>sin(delta-phi-alpha)=</t>
  </si>
  <si>
    <t>cos(delta-phi-alpha)=</t>
  </si>
  <si>
    <t>Anlage</t>
  </si>
  <si>
    <t>1.2</t>
  </si>
  <si>
    <t>Dr. Gö</t>
  </si>
  <si>
    <t xml:space="preserve">Dr. Gö </t>
  </si>
  <si>
    <t>Dateneingabe nur in farbige Felder</t>
  </si>
  <si>
    <t>Für die Rechenergebnissse ist jegliche Haftung ausgeschlosen</t>
  </si>
  <si>
    <t xml:space="preserve"> m</t>
  </si>
  <si>
    <t>Erdfall- Überdeckung H =</t>
  </si>
  <si>
    <t>Erdfall- Durchmesser B =</t>
  </si>
  <si>
    <t xml:space="preserve">max Geotextildehnung = </t>
  </si>
  <si>
    <t xml:space="preserve"> %</t>
  </si>
  <si>
    <t>3. Hilfswerte:</t>
  </si>
  <si>
    <t>Exponent =</t>
  </si>
  <si>
    <t>e hoch =</t>
  </si>
  <si>
    <t>Geotextile Zuglast =</t>
  </si>
  <si>
    <t>Geotextile Auflast =</t>
  </si>
  <si>
    <t xml:space="preserve"> cm</t>
  </si>
  <si>
    <t>D =</t>
  </si>
  <si>
    <t>rho max =</t>
  </si>
  <si>
    <t>rho nachher=</t>
  </si>
  <si>
    <t>mit rho dry =</t>
  </si>
  <si>
    <t>mit</t>
  </si>
  <si>
    <t xml:space="preserve">   mit gamma=</t>
  </si>
  <si>
    <t>und</t>
  </si>
  <si>
    <t>delta rho =</t>
  </si>
  <si>
    <t xml:space="preserve">aus Boden </t>
  </si>
  <si>
    <t>Altgrad</t>
  </si>
  <si>
    <t>mit den Kennwerten</t>
  </si>
  <si>
    <t xml:space="preserve"> % Lagerungsdichte</t>
  </si>
  <si>
    <t>2. Berechnungsergebnis :</t>
  </si>
  <si>
    <t>1178</t>
  </si>
  <si>
    <t>Geotextile Polstersicherung</t>
  </si>
  <si>
    <t>Verkehrslast auf Geotextil =</t>
  </si>
  <si>
    <t xml:space="preserve">eines Erdfalls </t>
  </si>
  <si>
    <t>Hilfswerte</t>
  </si>
  <si>
    <t>s zylinder möglich =</t>
  </si>
  <si>
    <t>Tiefenreduzier</t>
  </si>
  <si>
    <t>% Setzung</t>
  </si>
  <si>
    <r>
      <t>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  =  </t>
    </r>
  </si>
  <si>
    <r>
      <t>k</t>
    </r>
    <r>
      <rPr>
        <vertAlign val="subscript"/>
        <sz val="10"/>
        <rFont val="Arial"/>
        <family val="2"/>
      </rPr>
      <t xml:space="preserve">ah </t>
    </r>
    <r>
      <rPr>
        <sz val="10"/>
        <rFont val="Arial"/>
        <family val="2"/>
      </rPr>
      <t xml:space="preserve"> =  </t>
    </r>
  </si>
  <si>
    <t>rho-max =</t>
  </si>
  <si>
    <t>rho-min im Zylinder wird erreicht bei Polsterdicke H =</t>
  </si>
  <si>
    <t>im Kegel-Zylindermodell</t>
  </si>
  <si>
    <t>Durchhang Geotextil ohne  =</t>
  </si>
  <si>
    <t>und mit Querdehneinfluß   =</t>
  </si>
  <si>
    <t>06/04</t>
  </si>
  <si>
    <t xml:space="preserve"> Setzung in OK Polster =</t>
  </si>
  <si>
    <t>Unbefugte Programmnutzung ist strafbar, eine Blattschutzaufhebung ist unzulässig</t>
  </si>
  <si>
    <t xml:space="preserve">   mit phi       =</t>
  </si>
  <si>
    <r>
      <t xml:space="preserve"> kN/m</t>
    </r>
    <r>
      <rPr>
        <vertAlign val="superscript"/>
        <sz val="10"/>
        <rFont val="Arial"/>
        <family val="2"/>
      </rPr>
      <t>3</t>
    </r>
  </si>
  <si>
    <t>Annahmen:   oberhalb des aktiven Gleitflächenneigungswinkels  sollen</t>
  </si>
  <si>
    <t>%   des</t>
  </si>
  <si>
    <t>erfasst</t>
  </si>
  <si>
    <r>
      <t>Winkels vom Setzungstrichter erfasst werden,     kappa-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 wird  mit  </t>
    </r>
  </si>
  <si>
    <r>
      <t xml:space="preserve">        und der Querdehneinfluß kappa-</t>
    </r>
    <r>
      <rPr>
        <sz val="10"/>
        <rFont val="Symbol"/>
        <family val="1"/>
      </rPr>
      <t xml:space="preserve">e  </t>
    </r>
    <r>
      <rPr>
        <sz val="10"/>
        <rFont val="Arial"/>
        <family val="0"/>
      </rPr>
      <t xml:space="preserve"> mit             </t>
    </r>
  </si>
  <si>
    <r>
      <t xml:space="preserve"> gemäß kappa </t>
    </r>
    <r>
      <rPr>
        <sz val="10"/>
        <rFont val="Symbol"/>
        <family val="1"/>
      </rPr>
      <t>e</t>
    </r>
    <r>
      <rPr>
        <sz val="10"/>
        <rFont val="Arial"/>
        <family val="0"/>
      </rPr>
      <t xml:space="preserve"> </t>
    </r>
  </si>
  <si>
    <r>
      <t>kN/m</t>
    </r>
    <r>
      <rPr>
        <vertAlign val="superscript"/>
        <sz val="10"/>
        <rFont val="Arial"/>
        <family val="2"/>
      </rPr>
      <t>2</t>
    </r>
  </si>
  <si>
    <t>alpha =</t>
  </si>
  <si>
    <t>beta =</t>
  </si>
  <si>
    <t xml:space="preserve"> bei delta =</t>
  </si>
  <si>
    <t xml:space="preserve">(ais Wandreibungseinfluß)  </t>
  </si>
  <si>
    <t>Bearbeiter:</t>
  </si>
  <si>
    <r>
      <t xml:space="preserve"> kN/m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 xml:space="preserve">feucht  bei </t>
    </r>
  </si>
  <si>
    <r>
      <t>rho d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=</t>
    </r>
  </si>
  <si>
    <t xml:space="preserve">www.geotechnisches-buero.de </t>
  </si>
  <si>
    <r>
      <t>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nach</t>
    </r>
  </si>
  <si>
    <t>kN/m nach</t>
  </si>
  <si>
    <t xml:space="preserve"> cm nach</t>
  </si>
  <si>
    <t>RAFAEL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</si>
</sst>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000000"/>
    <numFmt numFmtId="175" formatCode="0.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vertAlign val="subscript"/>
      <sz val="10"/>
      <name val="Arial"/>
      <family val="2"/>
    </font>
    <font>
      <sz val="2.25"/>
      <name val="Times New Roman"/>
      <family val="0"/>
    </font>
    <font>
      <sz val="10"/>
      <color indexed="53"/>
      <name val="Arial"/>
      <family val="0"/>
    </font>
    <font>
      <sz val="10"/>
      <color indexed="57"/>
      <name val="Arial"/>
      <family val="0"/>
    </font>
    <font>
      <sz val="8"/>
      <name val="Times New Roman"/>
      <family val="0"/>
    </font>
    <font>
      <b/>
      <sz val="1.75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8"/>
      <name val="Arial"/>
      <family val="0"/>
    </font>
    <font>
      <sz val="10"/>
      <color indexed="12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u val="single"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8" xfId="0" applyBorder="1" applyAlignment="1">
      <alignment/>
    </xf>
    <xf numFmtId="2" fontId="0" fillId="0" borderId="8" xfId="0" applyNumberFormat="1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3" fontId="0" fillId="0" borderId="8" xfId="0" applyNumberForma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172" fontId="0" fillId="0" borderId="9" xfId="0" applyNumberFormat="1" applyBorder="1" applyAlignment="1">
      <alignment horizontal="center"/>
    </xf>
    <xf numFmtId="2" fontId="0" fillId="0" borderId="9" xfId="0" applyNumberFormat="1" applyFont="1" applyBorder="1" applyAlignment="1" applyProtection="1">
      <alignment horizontal="center"/>
      <protection/>
    </xf>
    <xf numFmtId="2" fontId="0" fillId="0" borderId="8" xfId="0" applyNumberFormat="1" applyBorder="1" applyAlignment="1">
      <alignment/>
    </xf>
    <xf numFmtId="2" fontId="14" fillId="2" borderId="8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2" fontId="14" fillId="2" borderId="8" xfId="0" applyNumberFormat="1" applyFont="1" applyFill="1" applyBorder="1" applyAlignment="1" applyProtection="1">
      <alignment horizontal="center"/>
      <protection/>
    </xf>
    <xf numFmtId="1" fontId="13" fillId="0" borderId="8" xfId="0" applyNumberFormat="1" applyFont="1" applyBorder="1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175" fontId="0" fillId="0" borderId="8" xfId="0" applyNumberFormat="1" applyBorder="1" applyAlignment="1" applyProtection="1">
      <alignment horizontal="center"/>
      <protection/>
    </xf>
    <xf numFmtId="173" fontId="0" fillId="0" borderId="8" xfId="0" applyNumberFormat="1" applyBorder="1" applyAlignment="1" applyProtection="1">
      <alignment horizontal="center"/>
      <protection/>
    </xf>
    <xf numFmtId="2" fontId="0" fillId="0" borderId="8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 horizontal="center"/>
      <protection locked="0"/>
    </xf>
    <xf numFmtId="175" fontId="0" fillId="0" borderId="8" xfId="0" applyNumberFormat="1" applyBorder="1" applyAlignment="1" applyProtection="1">
      <alignment horizontal="center"/>
      <protection locked="0"/>
    </xf>
    <xf numFmtId="173" fontId="0" fillId="0" borderId="8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8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  <protection hidden="1" locked="0"/>
    </xf>
    <xf numFmtId="2" fontId="3" fillId="0" borderId="0" xfId="0" applyNumberFormat="1" applyFont="1" applyBorder="1" applyAlignment="1" applyProtection="1">
      <alignment/>
      <protection hidden="1" locked="0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>
      <alignment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 hidden="1" locked="0"/>
    </xf>
    <xf numFmtId="175" fontId="3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3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19" fillId="0" borderId="0" xfId="18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" fillId="0" borderId="11" xfId="0" applyNumberFormat="1" applyFont="1" applyBorder="1" applyAlignment="1" applyProtection="1">
      <alignment horizontal="right"/>
      <protection hidden="1" locked="0"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3" fillId="0" borderId="12" xfId="0" applyNumberFormat="1" applyFont="1" applyBorder="1" applyAlignment="1" applyProtection="1">
      <alignment horizontal="right"/>
      <protection hidden="1" locked="0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49" fontId="3" fillId="0" borderId="22" xfId="0" applyNumberFormat="1" applyFont="1" applyBorder="1" applyAlignment="1" applyProtection="1">
      <alignment horizontal="right"/>
      <protection hidden="1" locked="0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17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1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173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right"/>
    </xf>
    <xf numFmtId="173" fontId="13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97925"/>
          <c:y val="0.21375"/>
          <c:w val="0.02075"/>
          <c:h val="0.51975"/>
        </c:manualLayout>
      </c:layout>
      <c:lineChart>
        <c:grouping val="standard"/>
        <c:varyColors val="0"/>
        <c:axId val="29958790"/>
        <c:axId val="1193655"/>
      </c:lineChart>
      <c:catAx>
        <c:axId val="2995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93655"/>
        <c:crosses val="max"/>
        <c:auto val="1"/>
        <c:lblOffset val="100"/>
        <c:tickLblSkip val="10"/>
        <c:tickMarkSkip val="5"/>
        <c:noMultiLvlLbl val="0"/>
      </c:catAx>
      <c:valAx>
        <c:axId val="1193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k- Wert</a:t>
                </a:r>
              </a:p>
            </c:rich>
          </c:tx>
          <c:layout/>
          <c:overlay val="0"/>
          <c:spPr>
            <a:noFill/>
            <a:ln w="3175">
              <a:solidFill/>
              <a:prstDash val="sysDot"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8790"/>
        <c:crossesAt val="40"/>
        <c:crossBetween val="between"/>
        <c:dispUnits/>
        <c:minorUnit val="0.25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23875"/>
          <c:w val="1"/>
          <c:h val="0.761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49</xdr:row>
      <xdr:rowOff>104775</xdr:rowOff>
    </xdr:from>
    <xdr:to>
      <xdr:col>10</xdr:col>
      <xdr:colOff>209550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6191250" y="8553450"/>
        <a:ext cx="200025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  <xdr:twoCellAnchor editAs="oneCell">
    <xdr:from>
      <xdr:col>6</xdr:col>
      <xdr:colOff>619125</xdr:colOff>
      <xdr:row>0</xdr:row>
      <xdr:rowOff>47625</xdr:rowOff>
    </xdr:from>
    <xdr:to>
      <xdr:col>8</xdr:col>
      <xdr:colOff>819150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4762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technisches-buero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62"/>
  <sheetViews>
    <sheetView tabSelected="1" workbookViewId="0" topLeftCell="A10">
      <selection activeCell="G24" sqref="G24"/>
    </sheetView>
  </sheetViews>
  <sheetFormatPr defaultColWidth="11.421875" defaultRowHeight="12.75"/>
  <cols>
    <col min="1" max="1" width="10.421875" style="47" customWidth="1"/>
    <col min="2" max="2" width="12.421875" style="47" customWidth="1"/>
    <col min="3" max="3" width="6.7109375" style="47" customWidth="1"/>
    <col min="4" max="4" width="7.28125" style="47" customWidth="1"/>
    <col min="5" max="5" width="9.140625" style="47" customWidth="1"/>
    <col min="6" max="6" width="7.28125" style="47" customWidth="1"/>
    <col min="7" max="7" width="13.00390625" style="47" customWidth="1"/>
    <col min="8" max="8" width="7.7109375" style="47" customWidth="1"/>
    <col min="9" max="9" width="12.7109375" style="47" customWidth="1"/>
    <col min="10" max="10" width="6.00390625" style="47" customWidth="1"/>
    <col min="11" max="16384" width="11.421875" style="47" customWidth="1"/>
  </cols>
  <sheetData>
    <row r="1" ht="12.75"/>
    <row r="2" ht="12.75"/>
    <row r="3" ht="12.75"/>
    <row r="4" ht="12.75"/>
    <row r="5" ht="12.75"/>
    <row r="8" ht="13.5" thickBot="1"/>
    <row r="9" spans="1:9" ht="12.75">
      <c r="A9" s="92"/>
      <c r="B9" s="93"/>
      <c r="C9" s="93"/>
      <c r="D9" s="93"/>
      <c r="E9" s="93"/>
      <c r="F9" s="93"/>
      <c r="G9" s="93"/>
      <c r="H9" s="93"/>
      <c r="I9" s="94"/>
    </row>
    <row r="10" spans="1:9" ht="15.75">
      <c r="A10" s="95"/>
      <c r="D10" s="49" t="s">
        <v>52</v>
      </c>
      <c r="I10" s="96"/>
    </row>
    <row r="11" spans="1:9" ht="15.75">
      <c r="A11" s="95"/>
      <c r="E11" s="49" t="s">
        <v>54</v>
      </c>
      <c r="I11" s="96"/>
    </row>
    <row r="12" spans="1:9" ht="12.75">
      <c r="A12" s="97"/>
      <c r="B12" s="79"/>
      <c r="C12" s="79"/>
      <c r="D12" s="79"/>
      <c r="E12" s="79"/>
      <c r="F12" s="79"/>
      <c r="G12" s="79"/>
      <c r="H12" s="79"/>
      <c r="I12" s="98"/>
    </row>
    <row r="13" spans="1:9" ht="15">
      <c r="A13" s="99" t="s">
        <v>0</v>
      </c>
      <c r="B13" s="80" t="s">
        <v>51</v>
      </c>
      <c r="C13" s="78"/>
      <c r="D13" s="78"/>
      <c r="E13" s="81"/>
      <c r="F13" s="81"/>
      <c r="G13" s="81"/>
      <c r="H13" s="82" t="s">
        <v>21</v>
      </c>
      <c r="I13" s="100" t="s">
        <v>22</v>
      </c>
    </row>
    <row r="14" spans="1:9" ht="15.75">
      <c r="A14" s="97" t="s">
        <v>82</v>
      </c>
      <c r="B14" s="83" t="s">
        <v>23</v>
      </c>
      <c r="C14" s="79"/>
      <c r="D14" s="84"/>
      <c r="E14" s="79"/>
      <c r="F14" s="85"/>
      <c r="G14" s="85"/>
      <c r="H14" s="79"/>
      <c r="I14" s="98"/>
    </row>
    <row r="15" spans="1:9" ht="12.75">
      <c r="A15" s="117" t="s">
        <v>14</v>
      </c>
      <c r="B15" s="118" t="s">
        <v>25</v>
      </c>
      <c r="C15" s="118"/>
      <c r="D15" s="118"/>
      <c r="E15" s="118"/>
      <c r="F15" s="118"/>
      <c r="G15" s="118"/>
      <c r="H15" s="118"/>
      <c r="I15" s="119"/>
    </row>
    <row r="16" spans="1:9" ht="12.75">
      <c r="A16" s="120"/>
      <c r="B16" s="121" t="s">
        <v>26</v>
      </c>
      <c r="C16" s="121"/>
      <c r="D16" s="121"/>
      <c r="E16" s="121"/>
      <c r="F16" s="121"/>
      <c r="G16" s="121"/>
      <c r="H16" s="121"/>
      <c r="I16" s="122"/>
    </row>
    <row r="17" spans="1:9" ht="12.75">
      <c r="A17" s="120"/>
      <c r="B17" s="121" t="s">
        <v>68</v>
      </c>
      <c r="C17" s="121"/>
      <c r="D17" s="121"/>
      <c r="E17" s="121"/>
      <c r="F17" s="121"/>
      <c r="G17" s="121"/>
      <c r="H17" s="121"/>
      <c r="I17" s="122"/>
    </row>
    <row r="18" spans="1:9" ht="12.75">
      <c r="A18" s="97"/>
      <c r="B18" s="79"/>
      <c r="C18" s="79"/>
      <c r="D18" s="79"/>
      <c r="E18" s="79"/>
      <c r="F18" s="79"/>
      <c r="G18" s="79"/>
      <c r="H18" s="79"/>
      <c r="I18" s="98"/>
    </row>
    <row r="19" spans="1:10" ht="12.75">
      <c r="A19" s="101" t="s">
        <v>1</v>
      </c>
      <c r="B19" s="86"/>
      <c r="C19" s="86"/>
      <c r="D19" s="86"/>
      <c r="E19" s="87"/>
      <c r="F19" s="87"/>
      <c r="G19" s="87" t="s">
        <v>48</v>
      </c>
      <c r="H19" s="86"/>
      <c r="I19" s="102"/>
      <c r="J19" s="50"/>
    </row>
    <row r="20" spans="1:10" ht="12.75">
      <c r="A20" s="103"/>
      <c r="B20" s="51" t="s">
        <v>29</v>
      </c>
      <c r="E20" s="52">
        <v>1.6</v>
      </c>
      <c r="F20" s="53" t="s">
        <v>27</v>
      </c>
      <c r="I20" s="96"/>
      <c r="J20" s="50"/>
    </row>
    <row r="21" spans="1:10" ht="12.75">
      <c r="A21" s="95"/>
      <c r="B21" s="51" t="s">
        <v>28</v>
      </c>
      <c r="E21" s="52">
        <v>1.7</v>
      </c>
      <c r="F21" s="47" t="s">
        <v>27</v>
      </c>
      <c r="G21" s="54" t="s">
        <v>46</v>
      </c>
      <c r="I21" s="96"/>
      <c r="J21" s="50"/>
    </row>
    <row r="22" spans="1:10" ht="12.75">
      <c r="A22" s="95"/>
      <c r="B22" s="51"/>
      <c r="E22" s="52"/>
      <c r="G22" s="54"/>
      <c r="I22" s="96"/>
      <c r="J22" s="50"/>
    </row>
    <row r="23" spans="1:10" ht="14.25">
      <c r="A23" s="95"/>
      <c r="B23" s="55" t="s">
        <v>43</v>
      </c>
      <c r="C23" s="56">
        <v>20.5</v>
      </c>
      <c r="D23" s="47" t="s">
        <v>83</v>
      </c>
      <c r="E23" s="57"/>
      <c r="F23" s="55" t="s">
        <v>38</v>
      </c>
      <c r="G23" s="58">
        <v>80</v>
      </c>
      <c r="H23" s="47" t="s">
        <v>49</v>
      </c>
      <c r="I23" s="96"/>
      <c r="J23" s="55"/>
    </row>
    <row r="24" spans="1:10" ht="15.75">
      <c r="A24" s="95"/>
      <c r="B24" s="55" t="s">
        <v>41</v>
      </c>
      <c r="C24" s="59">
        <v>17.982</v>
      </c>
      <c r="D24" s="47" t="s">
        <v>70</v>
      </c>
      <c r="E24" s="57" t="s">
        <v>44</v>
      </c>
      <c r="F24" s="60" t="s">
        <v>84</v>
      </c>
      <c r="G24" s="58">
        <v>15.63</v>
      </c>
      <c r="H24" s="47" t="s">
        <v>70</v>
      </c>
      <c r="I24" s="96"/>
      <c r="J24" s="50"/>
    </row>
    <row r="25" spans="1:10" ht="15.75">
      <c r="A25" s="95"/>
      <c r="B25" s="55" t="s">
        <v>69</v>
      </c>
      <c r="C25" s="56">
        <v>46</v>
      </c>
      <c r="D25" s="47" t="s">
        <v>2</v>
      </c>
      <c r="F25" s="60" t="s">
        <v>42</v>
      </c>
      <c r="G25" s="55" t="s">
        <v>59</v>
      </c>
      <c r="H25" s="61">
        <f>Tabelle2!$G$30*Tabelle2!$G$30/Tabelle2!$G$29/Tabelle2!$G$29/Tabelle2!$G$34/POWER((1+SQRT(Tabelle2!$G$32*Tabelle2!$G$33/Tabelle2!$G$34/Tabelle2!$G$35)),2)</f>
        <v>0.1632371911626012</v>
      </c>
      <c r="I25" s="104"/>
      <c r="J25" s="62"/>
    </row>
    <row r="26" spans="1:9" ht="12.75">
      <c r="A26" s="95"/>
      <c r="B26" s="55"/>
      <c r="C26" s="63"/>
      <c r="E26" s="64"/>
      <c r="I26" s="96"/>
    </row>
    <row r="27" spans="1:10" ht="14.25">
      <c r="A27" s="95"/>
      <c r="B27" s="51" t="s">
        <v>53</v>
      </c>
      <c r="C27" s="65"/>
      <c r="E27" s="66">
        <v>25</v>
      </c>
      <c r="F27" s="64" t="s">
        <v>77</v>
      </c>
      <c r="I27" s="96"/>
      <c r="J27" s="67"/>
    </row>
    <row r="28" spans="1:10" ht="12.75">
      <c r="A28" s="95"/>
      <c r="B28" s="51" t="s">
        <v>30</v>
      </c>
      <c r="C28" s="65"/>
      <c r="E28" s="66">
        <v>1.5</v>
      </c>
      <c r="F28" s="64" t="s">
        <v>31</v>
      </c>
      <c r="H28" s="68"/>
      <c r="I28" s="96"/>
      <c r="J28" s="67"/>
    </row>
    <row r="29" spans="1:10" ht="12.75">
      <c r="A29" s="95"/>
      <c r="B29" s="51" t="s">
        <v>71</v>
      </c>
      <c r="C29" s="69"/>
      <c r="E29" s="60"/>
      <c r="F29" s="64"/>
      <c r="H29" s="58">
        <v>12.5</v>
      </c>
      <c r="I29" s="96" t="s">
        <v>72</v>
      </c>
      <c r="J29" s="62"/>
    </row>
    <row r="30" spans="1:9" ht="15.75">
      <c r="A30" s="95"/>
      <c r="B30" s="64" t="s">
        <v>74</v>
      </c>
      <c r="E30" s="60"/>
      <c r="F30" s="64"/>
      <c r="H30" s="58">
        <v>0.5</v>
      </c>
      <c r="I30" s="96" t="s">
        <v>73</v>
      </c>
    </row>
    <row r="31" spans="1:9" ht="12.75">
      <c r="A31" s="95"/>
      <c r="B31" s="64"/>
      <c r="D31" s="70" t="s">
        <v>75</v>
      </c>
      <c r="E31" s="48"/>
      <c r="F31" s="51"/>
      <c r="H31" s="71">
        <v>0.6666666666666666</v>
      </c>
      <c r="I31" s="105"/>
    </row>
    <row r="32" spans="1:9" ht="12.75">
      <c r="A32" s="106" t="s">
        <v>50</v>
      </c>
      <c r="B32" s="88"/>
      <c r="C32" s="86"/>
      <c r="D32" s="88"/>
      <c r="E32" s="88"/>
      <c r="F32" s="89"/>
      <c r="G32" s="90"/>
      <c r="H32" s="91"/>
      <c r="I32" s="107"/>
    </row>
    <row r="33" spans="1:9" ht="14.25">
      <c r="A33" s="95"/>
      <c r="B33" s="72"/>
      <c r="C33" s="65"/>
      <c r="D33" s="57"/>
      <c r="E33" s="73" t="s">
        <v>36</v>
      </c>
      <c r="F33" s="57">
        <f>(1-Tabelle2!$I$30)*$E$20*$C$23/4/Tabelle2!$C$30/TAN($C$25/180*PI())+$E$27*Tabelle2!$I$30</f>
        <v>37.04825322166035</v>
      </c>
      <c r="G33" s="60" t="s">
        <v>86</v>
      </c>
      <c r="H33" s="60" t="s">
        <v>89</v>
      </c>
      <c r="I33" s="105"/>
    </row>
    <row r="34" spans="1:9" ht="15.75" customHeight="1">
      <c r="A34" s="103"/>
      <c r="B34" s="72"/>
      <c r="D34" s="57"/>
      <c r="E34" s="73" t="s">
        <v>35</v>
      </c>
      <c r="F34" s="57">
        <f>$F$33*$E$20/2*SQRT(1+1/6/$E$28*100)</f>
        <v>103.1453651343645</v>
      </c>
      <c r="G34" s="60" t="s">
        <v>87</v>
      </c>
      <c r="H34" s="60" t="s">
        <v>89</v>
      </c>
      <c r="I34" s="105"/>
    </row>
    <row r="35" spans="1:9" ht="15.75" customHeight="1">
      <c r="A35" s="103"/>
      <c r="B35" s="72"/>
      <c r="D35" s="74"/>
      <c r="E35" s="73" t="s">
        <v>64</v>
      </c>
      <c r="F35" s="74">
        <f>SQRT($E$28/100*3/8*$E$20*$E$20)*100</f>
        <v>12</v>
      </c>
      <c r="G35" s="60" t="s">
        <v>88</v>
      </c>
      <c r="H35" s="60" t="s">
        <v>89</v>
      </c>
      <c r="I35" s="105"/>
    </row>
    <row r="36" spans="1:9" ht="15.75" customHeight="1">
      <c r="A36" s="103"/>
      <c r="B36" s="72"/>
      <c r="D36" s="74"/>
      <c r="E36" s="73" t="s">
        <v>65</v>
      </c>
      <c r="F36" s="74">
        <f>SQRT($E$28*H31/100*3/8*$E$20*$E$20)*100</f>
        <v>9.797958971132713</v>
      </c>
      <c r="G36" s="60" t="s">
        <v>37</v>
      </c>
      <c r="H36" s="70" t="s">
        <v>76</v>
      </c>
      <c r="I36" s="105"/>
    </row>
    <row r="37" spans="1:10" ht="15.75" customHeight="1" thickBot="1">
      <c r="A37" s="108"/>
      <c r="B37" s="109"/>
      <c r="C37" s="110"/>
      <c r="D37" s="111"/>
      <c r="E37" s="112" t="s">
        <v>67</v>
      </c>
      <c r="F37" s="113">
        <f>F36/100*Tabelle3!C39</f>
        <v>5.387591442141327</v>
      </c>
      <c r="G37" s="114" t="s">
        <v>37</v>
      </c>
      <c r="H37" s="115" t="s">
        <v>63</v>
      </c>
      <c r="I37" s="116"/>
      <c r="J37" s="75"/>
    </row>
    <row r="38" spans="1:9" ht="15.75" customHeight="1">
      <c r="A38" s="48"/>
      <c r="B38" s="72"/>
      <c r="D38" s="74"/>
      <c r="E38" s="60"/>
      <c r="H38" s="61"/>
      <c r="I38" s="55"/>
    </row>
    <row r="39" spans="8:9" ht="12.75">
      <c r="H39" s="77" t="s">
        <v>85</v>
      </c>
      <c r="I39" s="76" t="s">
        <v>66</v>
      </c>
    </row>
    <row r="62" spans="9:10" ht="12.75">
      <c r="I62" s="55"/>
      <c r="J62" s="75"/>
    </row>
  </sheetData>
  <sheetProtection password="CCD1" sheet="1" objects="1" scenarios="1" selectLockedCells="1"/>
  <hyperlinks>
    <hyperlink ref="H39" r:id="rId1" display="www.geotechnisches-buero.de 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5">
      <selection activeCell="D35" sqref="D35"/>
    </sheetView>
  </sheetViews>
  <sheetFormatPr defaultColWidth="11.421875" defaultRowHeight="12.75"/>
  <cols>
    <col min="9" max="9" width="12.57421875" style="0" bestFit="1" customWidth="1"/>
  </cols>
  <sheetData>
    <row r="1" ht="12.75">
      <c r="A1" s="1" t="s">
        <v>32</v>
      </c>
    </row>
    <row r="2" ht="12.75">
      <c r="A2" s="1"/>
    </row>
    <row r="3" ht="12.75">
      <c r="D3" s="5"/>
    </row>
    <row r="4" ht="12.75">
      <c r="D4" s="5"/>
    </row>
    <row r="5" ht="12.75">
      <c r="D5" s="5"/>
    </row>
    <row r="6" ht="12.75">
      <c r="D6" s="5"/>
    </row>
    <row r="7" spans="2:3" ht="12.75">
      <c r="B7" s="6"/>
      <c r="C7" s="7"/>
    </row>
    <row r="8" ht="12.75">
      <c r="B8" s="8"/>
    </row>
    <row r="9" spans="2:3" ht="12.75">
      <c r="B9" s="12"/>
      <c r="C9" s="13"/>
    </row>
    <row r="10" spans="2:3" ht="12.75">
      <c r="B10" s="10"/>
      <c r="C10" s="3"/>
    </row>
    <row r="12" spans="2:3" ht="12.75">
      <c r="B12" s="6"/>
      <c r="C12" s="7"/>
    </row>
    <row r="13" spans="2:3" ht="12.75">
      <c r="B13" s="8"/>
      <c r="C13" s="9"/>
    </row>
    <row r="14" spans="2:3" ht="12.75">
      <c r="B14" s="12"/>
      <c r="C14" s="11"/>
    </row>
    <row r="15" spans="2:3" ht="12.75">
      <c r="B15" s="10"/>
      <c r="C15" s="7"/>
    </row>
    <row r="20" spans="2:3" ht="12.75">
      <c r="B20" t="s">
        <v>78</v>
      </c>
      <c r="C20" s="45">
        <v>0</v>
      </c>
    </row>
    <row r="22" spans="2:3" ht="12.75">
      <c r="B22" t="s">
        <v>79</v>
      </c>
      <c r="C22" s="46">
        <v>0</v>
      </c>
    </row>
    <row r="25" ht="18">
      <c r="D25" s="18"/>
    </row>
    <row r="27" ht="15.75">
      <c r="E27" s="17" t="s">
        <v>55</v>
      </c>
    </row>
    <row r="29" spans="5:9" ht="12.75">
      <c r="E29" t="s">
        <v>9</v>
      </c>
      <c r="G29">
        <f>COS(Tabelle2!$C$20/180*PI())</f>
        <v>1</v>
      </c>
      <c r="H29" t="s">
        <v>33</v>
      </c>
      <c r="I29" s="16">
        <f>Tabelle2!$C$30*4*Tabelle1!$E$21/Tabelle1!$E$20*TAN(Tabelle1!$C$25/180*PI())</f>
        <v>0.7184075040943231</v>
      </c>
    </row>
    <row r="30" spans="2:9" ht="15.75">
      <c r="B30" s="22" t="s">
        <v>60</v>
      </c>
      <c r="C30" s="23">
        <f>Tabelle2!$G$31*Tabelle1!$H$25</f>
        <v>0.1632371911626012</v>
      </c>
      <c r="D30" s="21"/>
      <c r="E30" t="s">
        <v>6</v>
      </c>
      <c r="G30" s="2">
        <f>COS((Tabelle1!$C$25+Tabelle2!$C$20)/180*PI())</f>
        <v>0.6946583704589974</v>
      </c>
      <c r="H30" t="s">
        <v>34</v>
      </c>
      <c r="I30" s="16">
        <f>EXP(-$I$29)</f>
        <v>0.4875280244748102</v>
      </c>
    </row>
    <row r="31" spans="2:9" ht="12.75">
      <c r="B31" s="22" t="s">
        <v>80</v>
      </c>
      <c r="C31" s="24">
        <v>0</v>
      </c>
      <c r="D31" s="21" t="s">
        <v>47</v>
      </c>
      <c r="E31" t="s">
        <v>3</v>
      </c>
      <c r="G31" s="2">
        <f>COS((Tabelle2!$C$31-Tabelle2!$C$20)/180*PI())</f>
        <v>1</v>
      </c>
      <c r="I31" s="16"/>
    </row>
    <row r="32" spans="4:9" ht="12.75">
      <c r="D32" s="22" t="s">
        <v>81</v>
      </c>
      <c r="E32" t="s">
        <v>7</v>
      </c>
      <c r="G32" s="2">
        <f>SIN((Tabelle1!$C$25+Tabelle2!$C$31)/180*PI())</f>
        <v>0.7193398003386511</v>
      </c>
      <c r="H32" t="s">
        <v>39</v>
      </c>
      <c r="I32" s="16">
        <f>Tabelle1!$G$24+(Tabelle1!$C$24-Tabelle1!$G$24)/Tabelle1!$G$23*100</f>
        <v>18.57</v>
      </c>
    </row>
    <row r="33" spans="5:9" ht="12.75">
      <c r="E33" t="s">
        <v>8</v>
      </c>
      <c r="G33" s="2">
        <f>SIN((Tabelle1!$C$25-Tabelle2!$C$22)/180*PI())</f>
        <v>0.7193398003386511</v>
      </c>
      <c r="H33" t="s">
        <v>45</v>
      </c>
      <c r="I33" s="16">
        <f>$I$32-Tabelle1!$G$24</f>
        <v>2.9399999999999995</v>
      </c>
    </row>
    <row r="34" spans="5:9" ht="12.75">
      <c r="E34" t="s">
        <v>3</v>
      </c>
      <c r="G34" s="2">
        <f>COS((Tabelle2!$C$31-C20)/180*PI())</f>
        <v>1</v>
      </c>
      <c r="H34" t="s">
        <v>40</v>
      </c>
      <c r="I34" s="16">
        <f>Tabelle1!$C$24*Tabelle1!$E$21*PI()*Tabelle1!$E$20*Tabelle1!$E$20/4/(Tabelle1!$E$21*PI()*Tabelle1!$E$20*Tabelle1!$E$20/4+2/3*Tabelle1!$F$36/100*PI()*Tabelle1!$E$20*Tabelle1!$E$20/4)</f>
        <v>17.316636494542937</v>
      </c>
    </row>
    <row r="35" spans="5:7" ht="12.75">
      <c r="E35" t="s">
        <v>4</v>
      </c>
      <c r="G35" s="2">
        <f>COS((Tabelle2!$C$20+Tabelle2!$C$22)/180*PI())</f>
        <v>1</v>
      </c>
    </row>
    <row r="36" spans="5:7" ht="12.75">
      <c r="E36" t="s">
        <v>5</v>
      </c>
      <c r="G36" s="2">
        <f>COS((Tabelle2!$C$31+Tabelle2!$C$20)/180*PI())</f>
        <v>1</v>
      </c>
    </row>
    <row r="37" spans="7:9" ht="12.75">
      <c r="G37" s="2"/>
      <c r="H37" s="4" t="s">
        <v>56</v>
      </c>
      <c r="I37" s="19">
        <f>PI()/3*Tabelle1!$E$20*Tabelle1!$E$20/4*Tabelle1!$E$21*(Tabelle1!$C$24-Tabelle1!$G$24)/Tabelle1!$G$24*3/2*4/Tabelle1!$E$20/Tabelle1!$E$20/PI()*100</f>
        <v>12.790786948176573</v>
      </c>
    </row>
    <row r="38" spans="5:9" ht="12.75">
      <c r="E38" t="s">
        <v>10</v>
      </c>
      <c r="G38">
        <f>COS(Tabelle1!$C$25/180*PI())</f>
        <v>0.6946583704589974</v>
      </c>
      <c r="H38" t="s">
        <v>58</v>
      </c>
      <c r="I38" s="20">
        <f>MAX(62.5-12.5*$I37/Tabelle1!F36,0)</f>
        <v>46.1818221709982</v>
      </c>
    </row>
    <row r="39" spans="5:9" ht="12.75">
      <c r="E39" t="s">
        <v>11</v>
      </c>
      <c r="G39">
        <f>SIN((Tabelle1!$C$25+Tabelle2!$C$31-Tabelle2!$C$20)/180*PI())</f>
        <v>0.7193398003386511</v>
      </c>
      <c r="H39" t="s">
        <v>57</v>
      </c>
      <c r="I39">
        <f>MAX(MIN(10/9-(I37/Tabelle1!$F$36)/9,1),0)</f>
        <v>0.966060641519984</v>
      </c>
    </row>
    <row r="40" spans="5:7" ht="12.75">
      <c r="E40" t="s">
        <v>12</v>
      </c>
      <c r="G40">
        <f>COS((Tabelle1!$C$25+Tabelle2!$C$31-Tabelle2!$C$20)/180*PI())</f>
        <v>0.6946583704589974</v>
      </c>
    </row>
    <row r="41" spans="5:7" ht="12.75">
      <c r="E41" t="s">
        <v>13</v>
      </c>
      <c r="G41">
        <f>SIN(Tabelle1!$C$25/180*PI())</f>
        <v>0.7193398003386511</v>
      </c>
    </row>
    <row r="42" spans="5:7" ht="12.75">
      <c r="E42" t="s">
        <v>16</v>
      </c>
      <c r="G42">
        <f>SIN(Tabelle2!$C$22/180*PI())</f>
        <v>0</v>
      </c>
    </row>
    <row r="43" ht="12.75">
      <c r="G43" s="2"/>
    </row>
    <row r="44" spans="5:7" ht="12.75">
      <c r="E44" t="s">
        <v>17</v>
      </c>
      <c r="G44">
        <f>COS((Tabelle2!$C$20-Tabelle1!$C$14)/180*PI())</f>
        <v>1</v>
      </c>
    </row>
    <row r="45" spans="5:7" ht="12.75">
      <c r="E45" t="s">
        <v>18</v>
      </c>
      <c r="G45">
        <f>SIN((Tabelle2!$C$31-Tabelle1!$C$25)/180*PI())</f>
        <v>-0.7193398003386511</v>
      </c>
    </row>
    <row r="46" spans="5:7" ht="12.75">
      <c r="E46" t="s">
        <v>15</v>
      </c>
      <c r="G46">
        <f>SIN((Tabelle1!$C$25+Tabelle2!$C$22)/180*PI())</f>
        <v>0.7193398003386511</v>
      </c>
    </row>
    <row r="47" spans="5:7" ht="12.75">
      <c r="E47" t="s">
        <v>19</v>
      </c>
      <c r="G47">
        <f>SIN((Tabelle2!$C$31-Tabelle1!$C$25-Tabelle2!$C$20)/180*PI())</f>
        <v>-0.7193398003386511</v>
      </c>
    </row>
    <row r="48" spans="5:9" ht="12.75">
      <c r="E48" t="s">
        <v>20</v>
      </c>
      <c r="G48">
        <f>COS((Tabelle2!$C$31-Tabelle1!$C$25-Tabelle2!$C$20)/180*PI())</f>
        <v>0.6946583704589974</v>
      </c>
      <c r="I48" s="4" t="s">
        <v>24</v>
      </c>
    </row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8">
      <selection activeCell="D43" sqref="D43"/>
    </sheetView>
  </sheetViews>
  <sheetFormatPr defaultColWidth="11.421875" defaultRowHeight="12.75"/>
  <sheetData>
    <row r="1" spans="3:10" ht="12.75">
      <c r="C1" s="34"/>
      <c r="D1" s="34"/>
      <c r="E1" s="34"/>
      <c r="F1" s="34"/>
      <c r="G1" s="34"/>
      <c r="H1" s="34"/>
      <c r="I1" s="34"/>
      <c r="J1" s="34"/>
    </row>
    <row r="2" spans="3:10" ht="12.75">
      <c r="C2" s="34"/>
      <c r="D2" s="34"/>
      <c r="E2" s="34"/>
      <c r="F2" s="34"/>
      <c r="G2" s="34"/>
      <c r="H2" s="34"/>
      <c r="I2" s="34"/>
      <c r="J2" s="34"/>
    </row>
    <row r="3" spans="3:10" ht="12.75">
      <c r="C3" s="34"/>
      <c r="D3" s="34"/>
      <c r="E3" s="34"/>
      <c r="F3" s="34"/>
      <c r="G3" s="34"/>
      <c r="H3" s="34"/>
      <c r="I3" s="34"/>
      <c r="J3" s="34"/>
    </row>
    <row r="4" spans="3:10" ht="12.75">
      <c r="C4" s="34"/>
      <c r="D4" s="34"/>
      <c r="E4" s="34"/>
      <c r="F4" s="34"/>
      <c r="G4" s="34"/>
      <c r="H4" s="34"/>
      <c r="I4" s="34"/>
      <c r="J4" s="34"/>
    </row>
    <row r="5" spans="3:10" ht="12.75">
      <c r="C5" s="34"/>
      <c r="D5" s="34"/>
      <c r="E5" s="34"/>
      <c r="F5" s="34"/>
      <c r="G5" s="34"/>
      <c r="H5" s="34"/>
      <c r="I5" s="34"/>
      <c r="J5" s="34"/>
    </row>
    <row r="6" spans="3:10" ht="12.75">
      <c r="C6" s="34"/>
      <c r="D6" s="34"/>
      <c r="E6" s="34"/>
      <c r="F6" s="34"/>
      <c r="G6" s="34"/>
      <c r="H6" s="34"/>
      <c r="I6" s="34"/>
      <c r="J6" s="34"/>
    </row>
    <row r="7" spans="3:10" ht="12.75">
      <c r="C7" s="34"/>
      <c r="D7" s="34"/>
      <c r="E7" s="34"/>
      <c r="F7" s="34"/>
      <c r="G7" s="34"/>
      <c r="H7" s="34"/>
      <c r="I7" s="34"/>
      <c r="J7" s="34"/>
    </row>
    <row r="8" spans="3:10" ht="12.75">
      <c r="C8" s="34"/>
      <c r="D8" s="34"/>
      <c r="E8" s="34"/>
      <c r="F8" s="34"/>
      <c r="G8" s="34"/>
      <c r="H8" s="34"/>
      <c r="I8" s="34"/>
      <c r="J8" s="34"/>
    </row>
    <row r="9" spans="3:10" ht="12.75">
      <c r="C9" s="34"/>
      <c r="D9" s="34"/>
      <c r="E9" s="34"/>
      <c r="F9" s="34"/>
      <c r="G9" s="34"/>
      <c r="H9" s="34"/>
      <c r="I9" s="34"/>
      <c r="J9" s="34"/>
    </row>
    <row r="10" spans="3:10" ht="12.75">
      <c r="C10" s="34"/>
      <c r="D10" s="34"/>
      <c r="E10" s="34"/>
      <c r="F10" s="34"/>
      <c r="G10" s="34"/>
      <c r="H10" s="34"/>
      <c r="I10" s="34"/>
      <c r="J10" s="34"/>
    </row>
    <row r="11" spans="3:10" ht="12.75">
      <c r="C11" s="34"/>
      <c r="D11" s="34"/>
      <c r="E11" s="34"/>
      <c r="F11" s="34"/>
      <c r="G11" s="34"/>
      <c r="H11" s="34"/>
      <c r="I11" s="34"/>
      <c r="J11" s="34"/>
    </row>
    <row r="12" spans="3:10" ht="12.75">
      <c r="C12" s="34"/>
      <c r="D12" s="34"/>
      <c r="E12" s="34"/>
      <c r="F12" s="34"/>
      <c r="G12" s="34"/>
      <c r="H12" s="34"/>
      <c r="I12" s="34"/>
      <c r="J12" s="34"/>
    </row>
    <row r="13" spans="3:10" ht="12.75">
      <c r="C13" s="34"/>
      <c r="D13" s="34"/>
      <c r="E13" s="34"/>
      <c r="F13" s="34"/>
      <c r="G13" s="34"/>
      <c r="H13" s="34"/>
      <c r="I13" s="34"/>
      <c r="J13" s="34"/>
    </row>
    <row r="14" spans="3:10" ht="12.75">
      <c r="C14" s="34"/>
      <c r="D14" s="34"/>
      <c r="E14" s="34"/>
      <c r="F14" s="34"/>
      <c r="G14" s="34"/>
      <c r="H14" s="34"/>
      <c r="I14" s="34"/>
      <c r="J14" s="34"/>
    </row>
    <row r="15" spans="3:10" ht="12.75">
      <c r="C15" s="34"/>
      <c r="D15" s="34"/>
      <c r="E15" s="34"/>
      <c r="F15" s="34"/>
      <c r="G15" s="34"/>
      <c r="H15" s="34"/>
      <c r="I15" s="34"/>
      <c r="J15" s="34"/>
    </row>
    <row r="16" spans="3:10" ht="12.75">
      <c r="C16" s="34"/>
      <c r="D16" s="34"/>
      <c r="E16" s="34"/>
      <c r="F16" s="34"/>
      <c r="G16" s="34"/>
      <c r="H16" s="34"/>
      <c r="I16" s="34"/>
      <c r="J16" s="34"/>
    </row>
    <row r="17" spans="3:10" ht="12.75">
      <c r="C17" s="34"/>
      <c r="D17" s="34"/>
      <c r="E17" s="34"/>
      <c r="F17" s="34"/>
      <c r="G17" s="34"/>
      <c r="H17" s="34"/>
      <c r="I17" s="34"/>
      <c r="J17" s="34"/>
    </row>
    <row r="18" spans="3:10" ht="12.75">
      <c r="C18" s="34"/>
      <c r="D18" s="34"/>
      <c r="E18" s="34"/>
      <c r="F18" s="34"/>
      <c r="G18" s="34"/>
      <c r="H18" s="34"/>
      <c r="I18" s="34"/>
      <c r="J18" s="34"/>
    </row>
    <row r="19" spans="3:11" ht="12.75">
      <c r="C19" s="34"/>
      <c r="D19" s="34"/>
      <c r="E19" s="34"/>
      <c r="F19" s="34"/>
      <c r="G19" s="34"/>
      <c r="H19" s="34"/>
      <c r="I19" s="34" t="s">
        <v>61</v>
      </c>
      <c r="J19" s="35">
        <f>Tabelle1!$G$24+(Tabelle1!$C$24-Tabelle1!$G$24)/Tabelle1!$G$23*100</f>
        <v>18.57</v>
      </c>
      <c r="K19" s="25"/>
    </row>
    <row r="20" spans="3:10" ht="12.75">
      <c r="C20" s="34"/>
      <c r="D20" s="34"/>
      <c r="E20" s="34"/>
      <c r="F20" s="34"/>
      <c r="G20" s="34"/>
      <c r="H20" s="34"/>
      <c r="I20" s="34"/>
      <c r="J20" s="34"/>
    </row>
    <row r="21" spans="2:10" ht="12.75">
      <c r="B21" s="14"/>
      <c r="C21" s="36"/>
      <c r="D21" s="36"/>
      <c r="E21" s="36"/>
      <c r="F21" s="37"/>
      <c r="G21" s="38" t="s">
        <v>62</v>
      </c>
      <c r="H21" s="35">
        <f>Tabelle1!G24/(Tabelle1!C24-Tabelle1!G24)*2/3*Tabelle1!F36/100</f>
        <v>0.434076243534026</v>
      </c>
      <c r="I21" s="36" t="s">
        <v>27</v>
      </c>
      <c r="J21" s="34"/>
    </row>
    <row r="22" spans="3:10" ht="12.75">
      <c r="C22" s="34"/>
      <c r="D22" s="34"/>
      <c r="E22" s="34"/>
      <c r="F22" s="34"/>
      <c r="G22" s="34"/>
      <c r="H22" s="34"/>
      <c r="I22" s="34"/>
      <c r="J22" s="34"/>
    </row>
    <row r="23" spans="3:10" ht="12.75">
      <c r="C23" s="34"/>
      <c r="D23" s="34"/>
      <c r="E23" s="34"/>
      <c r="F23" s="34"/>
      <c r="G23" s="34"/>
      <c r="H23" s="34"/>
      <c r="I23" s="34"/>
      <c r="J23" s="34"/>
    </row>
    <row r="24" spans="3:10" ht="12.75">
      <c r="C24" s="34"/>
      <c r="D24" s="34"/>
      <c r="E24" s="34"/>
      <c r="F24" s="34"/>
      <c r="G24" s="34"/>
      <c r="H24" s="34"/>
      <c r="I24" s="34"/>
      <c r="J24" s="34"/>
    </row>
    <row r="25" spans="3:10" ht="12.75">
      <c r="C25" s="34"/>
      <c r="D25" s="34"/>
      <c r="E25" s="34"/>
      <c r="F25" s="34"/>
      <c r="G25" s="34"/>
      <c r="H25" s="34"/>
      <c r="I25" s="34"/>
      <c r="J25" s="34"/>
    </row>
    <row r="26" spans="3:10" ht="12.75">
      <c r="C26" s="34"/>
      <c r="D26" s="34"/>
      <c r="E26" s="34"/>
      <c r="F26" s="34"/>
      <c r="G26" s="34"/>
      <c r="H26" s="34"/>
      <c r="I26" s="34"/>
      <c r="J26" s="34"/>
    </row>
    <row r="27" spans="3:10" ht="12.75">
      <c r="C27" s="34"/>
      <c r="D27" s="34"/>
      <c r="E27" s="34"/>
      <c r="F27" s="34"/>
      <c r="G27" s="34"/>
      <c r="H27" s="34"/>
      <c r="I27" s="34"/>
      <c r="J27" s="34"/>
    </row>
    <row r="28" spans="3:10" ht="12.75">
      <c r="C28" s="34"/>
      <c r="D28" s="34"/>
      <c r="E28" s="34"/>
      <c r="F28" s="34"/>
      <c r="G28" s="34"/>
      <c r="H28" s="34"/>
      <c r="I28" s="34"/>
      <c r="J28" s="34"/>
    </row>
    <row r="29" spans="3:10" ht="12.75">
      <c r="C29" s="34"/>
      <c r="D29" s="34"/>
      <c r="E29" s="34"/>
      <c r="F29" s="34"/>
      <c r="G29" s="34"/>
      <c r="H29" s="34"/>
      <c r="I29" s="34"/>
      <c r="J29" s="34"/>
    </row>
    <row r="30" spans="3:10" ht="12.75">
      <c r="C30" s="34"/>
      <c r="D30" s="34"/>
      <c r="E30" s="34"/>
      <c r="F30" s="34"/>
      <c r="G30" s="34"/>
      <c r="H30" s="34"/>
      <c r="I30" s="34"/>
      <c r="J30" s="34"/>
    </row>
    <row r="31" spans="3:10" ht="12.75">
      <c r="C31" s="34"/>
      <c r="D31" s="34"/>
      <c r="E31" s="34"/>
      <c r="F31" s="34"/>
      <c r="G31" s="34"/>
      <c r="H31" s="34"/>
      <c r="I31" s="34"/>
      <c r="J31" s="34"/>
    </row>
    <row r="32" spans="3:10" ht="12.75">
      <c r="C32" s="34"/>
      <c r="D32" s="34"/>
      <c r="E32" s="34"/>
      <c r="F32" s="34"/>
      <c r="G32" s="34"/>
      <c r="H32" s="34"/>
      <c r="I32" s="34"/>
      <c r="J32" s="34"/>
    </row>
    <row r="33" spans="3:10" ht="12.75">
      <c r="C33" s="34"/>
      <c r="D33" s="34"/>
      <c r="E33" s="34"/>
      <c r="F33" s="34"/>
      <c r="G33" s="34"/>
      <c r="H33" s="34"/>
      <c r="I33" s="34"/>
      <c r="J33" s="34"/>
    </row>
    <row r="34" spans="3:10" ht="12.75">
      <c r="C34" s="34"/>
      <c r="D34" s="34"/>
      <c r="E34" s="34"/>
      <c r="F34" s="34"/>
      <c r="G34" s="34"/>
      <c r="H34" s="34"/>
      <c r="I34" s="34"/>
      <c r="J34" s="34"/>
    </row>
    <row r="35" spans="3:10" ht="12.75">
      <c r="C35" s="34"/>
      <c r="D35" s="34"/>
      <c r="E35" s="34"/>
      <c r="F35" s="34"/>
      <c r="G35" s="34"/>
      <c r="H35" s="34"/>
      <c r="I35" s="34"/>
      <c r="J35" s="34"/>
    </row>
    <row r="36" spans="3:10" ht="12.75">
      <c r="C36" s="34"/>
      <c r="D36" s="34"/>
      <c r="E36" s="34"/>
      <c r="F36" s="34"/>
      <c r="G36" s="34"/>
      <c r="H36" s="34"/>
      <c r="I36" s="34"/>
      <c r="J36" s="34"/>
    </row>
    <row r="37" spans="3:10" ht="12.75">
      <c r="C37" s="34"/>
      <c r="D37" s="34"/>
      <c r="E37" s="34"/>
      <c r="F37" s="34"/>
      <c r="G37" s="34"/>
      <c r="H37" s="34"/>
      <c r="I37" s="34"/>
      <c r="J37" s="34"/>
    </row>
    <row r="38" spans="3:10" ht="12.75">
      <c r="C38" s="34"/>
      <c r="D38" s="34"/>
      <c r="E38" s="34"/>
      <c r="F38" s="34"/>
      <c r="G38" s="34"/>
      <c r="H38" s="34"/>
      <c r="I38" s="34"/>
      <c r="J38" s="34"/>
    </row>
    <row r="39" spans="1:10" ht="12.75">
      <c r="A39" s="14"/>
      <c r="B39" s="28">
        <f>Tabelle1!E21</f>
        <v>1.7</v>
      </c>
      <c r="C39" s="29">
        <f>1/Tabelle1!$F$36*100*IF($I39&gt;Tabelle1!$G$24,MIN(Tabelle1!$F$36*(($G39-$F39)*($J$19-$I39)/($J$19-Tabelle1!$G$24)+$F39)),(Tabelle1!$F$36-(Tabelle1!$F$36-$G$50*Tabelle1!$F$36)/$H$21*$B39))</f>
        <v>54.98687489929837</v>
      </c>
      <c r="D39" s="30">
        <f>Tabelle1!$F$36*$F39</f>
        <v>3.396424807988925</v>
      </c>
      <c r="E39" s="30">
        <f>Tabelle1!$F$36*$G39</f>
        <v>8.06708090968647</v>
      </c>
      <c r="F39" s="15">
        <f>MAX(5/4*$G39*Tabelle1!$H$30-$G39/4*Tabelle1!$H$30*$H39/Tabelle1!$F$36,0)</f>
        <v>0.3466461553876332</v>
      </c>
      <c r="G39" s="31">
        <f>POWER(Tabelle1!$E$20/(Tabelle1!$E$20+2*$B39/TAN((45+Tabelle1!$C$25/2+(1-Tabelle1!$H$29/100)*45-(1-Tabelle1!$H$29/100)*Tabelle1!$C$25/2)/180*PI())),2)</f>
        <v>0.8233429976032917</v>
      </c>
      <c r="H39" s="32">
        <f>PI()/3*Tabelle1!$E$20*Tabelle1!$E$20/4*$B39*($J$19-Tabelle1!$G$24)/Tabelle1!$G$24*3/2*4/Tabelle1!$E$20/Tabelle1!$E$20/PI()*100</f>
        <v>15.988483685220721</v>
      </c>
      <c r="I39" s="33">
        <f>Tabelle1!$C$24*B39*PI()*Tabelle1!$E$20*Tabelle1!$E$20/4/(B39*PI()*Tabelle1!$E$20*Tabelle1!$E$20/4+2/3*Tabelle1!$F$36/100*PI()*Tabelle1!$E$20*Tabelle1!$E$20/4)</f>
        <v>17.316636494542937</v>
      </c>
      <c r="J39" s="33">
        <f>$J$19*B39*PI()*Tabelle1!$E$20*Tabelle1!$E$20/4/(B39*PI()*Tabelle1!$E$20*Tabelle1!$E$20/4+2/3*Tabelle1!$F$36/100*PI()*Tabelle1!$E$20*Tabelle1!$E$20/4)</f>
        <v>17.8828795297332</v>
      </c>
    </row>
    <row r="40" spans="2:10" ht="12.75">
      <c r="B40" s="27"/>
      <c r="C40" s="39"/>
      <c r="D40" s="39"/>
      <c r="E40" s="39"/>
      <c r="F40" s="39"/>
      <c r="G40" s="39"/>
      <c r="H40" s="39"/>
      <c r="I40" s="39"/>
      <c r="J40" s="39"/>
    </row>
    <row r="41" spans="2:10" ht="12.75">
      <c r="B41" s="27"/>
      <c r="C41" s="39"/>
      <c r="D41" s="39"/>
      <c r="E41" s="39"/>
      <c r="F41" s="39"/>
      <c r="G41" s="39"/>
      <c r="H41" s="39"/>
      <c r="I41" s="39"/>
      <c r="J41" s="39"/>
    </row>
    <row r="42" spans="2:10" ht="12.75">
      <c r="B42" s="27"/>
      <c r="C42" s="39"/>
      <c r="D42" s="39"/>
      <c r="E42" s="39"/>
      <c r="F42" s="39"/>
      <c r="G42" s="39"/>
      <c r="H42" s="39"/>
      <c r="I42" s="39"/>
      <c r="J42" s="39"/>
    </row>
    <row r="43" spans="2:10" ht="12.75">
      <c r="B43" s="27"/>
      <c r="C43" s="39"/>
      <c r="D43" s="39"/>
      <c r="E43" s="39"/>
      <c r="F43" s="39"/>
      <c r="G43" s="39"/>
      <c r="H43" s="39"/>
      <c r="I43" s="39"/>
      <c r="J43" s="39"/>
    </row>
    <row r="44" spans="2:10" ht="12.75">
      <c r="B44" s="27"/>
      <c r="C44" s="39"/>
      <c r="D44" s="39"/>
      <c r="E44" s="39"/>
      <c r="F44" s="39"/>
      <c r="G44" s="39"/>
      <c r="H44" s="39"/>
      <c r="I44" s="39"/>
      <c r="J44" s="39"/>
    </row>
    <row r="45" spans="2:10" ht="12.75">
      <c r="B45" s="27"/>
      <c r="C45" s="39"/>
      <c r="D45" s="39"/>
      <c r="E45" s="39"/>
      <c r="F45" s="39"/>
      <c r="G45" s="39"/>
      <c r="H45" s="39"/>
      <c r="I45" s="39"/>
      <c r="J45" s="39"/>
    </row>
    <row r="46" spans="2:10" ht="12.75">
      <c r="B46" s="27"/>
      <c r="C46" s="39"/>
      <c r="D46" s="39"/>
      <c r="E46" s="39"/>
      <c r="F46" s="39"/>
      <c r="G46" s="39"/>
      <c r="H46" s="39"/>
      <c r="I46" s="39"/>
      <c r="J46" s="39"/>
    </row>
    <row r="47" spans="2:10" ht="12.75">
      <c r="B47" s="27"/>
      <c r="C47" s="39"/>
      <c r="D47" s="39"/>
      <c r="E47" s="39"/>
      <c r="F47" s="39"/>
      <c r="G47" s="39"/>
      <c r="H47" s="39"/>
      <c r="I47" s="39"/>
      <c r="J47" s="39"/>
    </row>
    <row r="48" spans="2:10" ht="12.75">
      <c r="B48" s="27"/>
      <c r="C48" s="39"/>
      <c r="D48" s="39"/>
      <c r="E48" s="39"/>
      <c r="F48" s="39"/>
      <c r="G48" s="39"/>
      <c r="H48" s="39"/>
      <c r="I48" s="39"/>
      <c r="J48" s="39"/>
    </row>
    <row r="49" spans="2:10" ht="12.75">
      <c r="B49" s="27"/>
      <c r="C49" s="39"/>
      <c r="D49" s="39"/>
      <c r="E49" s="39"/>
      <c r="F49" s="39"/>
      <c r="G49" s="39"/>
      <c r="H49" s="39"/>
      <c r="I49" s="39"/>
      <c r="J49" s="39"/>
    </row>
    <row r="50" spans="2:10" ht="12.75">
      <c r="B50" s="26">
        <f>H21</f>
        <v>0.434076243534026</v>
      </c>
      <c r="C50" s="40">
        <f>1/Tabelle1!$F$36*100*IF($I50&gt;Tabelle1!$G$24,MIN(Tabelle1!$F$36*(($G50-$F50)*($J$19-$I50)/($J$19-Tabelle1!$G$24)+$F50)),(Tabelle1!$F$36-(Tabelle1!$F$36-$G$50*Tabelle1!$F$36)/$H$21*$B50))</f>
        <v>94.98437764413347</v>
      </c>
      <c r="D50" s="41">
        <f>Tabelle1!$F$36*$F50</f>
        <v>5.3318663466738245</v>
      </c>
      <c r="E50" s="41">
        <f>Tabelle1!$F$36*$G50</f>
        <v>9.306530350557951</v>
      </c>
      <c r="F50" s="15">
        <f>MAX(5/4*$G50*Tabelle1!$H$30-$G50/4*Tabelle1!$H$30*$H50/Tabelle1!$F$36,0)</f>
        <v>0.5441813302528479</v>
      </c>
      <c r="G50" s="42">
        <f>POWER(Tabelle1!$E$20/(Tabelle1!$E$20+2*$B50/TAN((45+Tabelle1!$C$25/2+(1-Tabelle1!$H$29/100)*45-(1-Tabelle1!$H$29/100)*Tabelle1!$C$25/2)/180*PI())),2)</f>
        <v>0.9498437764413347</v>
      </c>
      <c r="H50" s="43">
        <f>PI()/3*Tabelle1!$E$20*Tabelle1!$E$20/4*$B50*($J$19-Tabelle1!$G$24)/Tabelle1!$G$24*3/2*4/Tabelle1!$E$20/Tabelle1!$E$20/PI()*100</f>
        <v>4.082482904638632</v>
      </c>
      <c r="I50" s="44">
        <f>Tabelle1!$C$24*B50*PI()*Tabelle1!$E$20*Tabelle1!$E$20/4/(B50*PI()*Tabelle1!$E$20*Tabelle1!$E$20/4+2/3*Tabelle1!$F$36/100*PI()*Tabelle1!$E$20*Tabelle1!$E$20/4)</f>
        <v>15.63</v>
      </c>
      <c r="J50" s="44">
        <f>$J$19*B50*PI()*Tabelle1!$E$20*Tabelle1!$E$20/4/(B50*PI()*Tabelle1!$E$20*Tabelle1!$E$20/4+2/3*Tabelle1!$F$36/100*PI()*Tabelle1!$E$20*Tabelle1!$E$20/4)</f>
        <v>16.14109109109109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Martens</cp:lastModifiedBy>
  <cp:lastPrinted>2004-07-05T06:08:40Z</cp:lastPrinted>
  <dcterms:created xsi:type="dcterms:W3CDTF">1996-10-17T05:27:31Z</dcterms:created>
  <dcterms:modified xsi:type="dcterms:W3CDTF">2004-07-05T06:08:43Z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